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525" firstSheet="2" activeTab="2"/>
  </bookViews>
  <sheets>
    <sheet name="项目概况" sheetId="2" state="hidden" r:id="rId1"/>
    <sheet name="控制价分析表" sheetId="3" state="hidden" r:id="rId2"/>
    <sheet name="成本分析清单" sheetId="4" r:id="rId3"/>
  </sheets>
  <definedNames>
    <definedName name="_xlnm._FilterDatabase" localSheetId="1" hidden="1">控制价分析表!$A$6:$P$28</definedName>
    <definedName name="_xlnm.Print_Area" localSheetId="1">控制价分析表!$A$1:$P$32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<sst xmlns="http://schemas.openxmlformats.org/spreadsheetml/2006/main" count="138" uniqueCount="105">
  <si>
    <t>项目成本测算信息一览表</t>
  </si>
  <si>
    <t>一、项目概况表</t>
  </si>
  <si>
    <t>项目（子项）名称：</t>
  </si>
  <si>
    <t>隆润朗景台项目-基坑边坡支护工程专业分包</t>
  </si>
  <si>
    <t>建设内容：</t>
  </si>
  <si>
    <t>项目类型：</t>
  </si>
  <si>
    <t>估算成本</t>
  </si>
  <si>
    <t>二、成本分析表</t>
  </si>
  <si>
    <t>序号</t>
  </si>
  <si>
    <t>内容</t>
  </si>
  <si>
    <t>成本控制价</t>
  </si>
  <si>
    <t>其中（含税）</t>
  </si>
  <si>
    <t>税金</t>
  </si>
  <si>
    <t>各项占比</t>
  </si>
  <si>
    <t>备 注</t>
  </si>
  <si>
    <t>分项</t>
  </si>
  <si>
    <t>金额</t>
  </si>
  <si>
    <t>一</t>
  </si>
  <si>
    <t>建设工程控制总价</t>
  </si>
  <si>
    <t>/</t>
  </si>
  <si>
    <t>合计</t>
  </si>
  <si>
    <t>分部分项工程</t>
  </si>
  <si>
    <t>专业分包</t>
  </si>
  <si>
    <t>税率：9%</t>
  </si>
  <si>
    <t>二</t>
  </si>
  <si>
    <t>三</t>
  </si>
  <si>
    <t>四</t>
  </si>
  <si>
    <t>预计利润＝（成本控制价-估算成本）</t>
  </si>
  <si>
    <t>五</t>
  </si>
  <si>
    <t>预计利润率（%）＝（预计利润/成本控制价）</t>
  </si>
  <si>
    <t>注：</t>
  </si>
  <si>
    <t>编制人员</t>
  </si>
  <si>
    <t>三、工程项目单价分析表</t>
  </si>
  <si>
    <t>项目名称</t>
  </si>
  <si>
    <t>成本合价
（含税）</t>
  </si>
  <si>
    <t>估算成本单价
（含税）</t>
  </si>
  <si>
    <t>估算成本总价</t>
  </si>
  <si>
    <t>类型</t>
  </si>
  <si>
    <t>单位：（元）</t>
  </si>
  <si>
    <t>子目名称</t>
  </si>
  <si>
    <t>单位</t>
  </si>
  <si>
    <t>数量</t>
  </si>
  <si>
    <t>单价</t>
  </si>
  <si>
    <r>
      <rPr>
        <sz val="11"/>
        <color theme="1"/>
        <rFont val="宋体"/>
        <charset val="134"/>
      </rPr>
      <t>单价组成</t>
    </r>
  </si>
  <si>
    <t>成本单价
（含税）</t>
  </si>
  <si>
    <t>单项利润</t>
  </si>
  <si>
    <t>单项盈亏比(利润/单项总利润)</t>
  </si>
  <si>
    <t>项目单价(填写往期类似项目的控制单价)</t>
  </si>
  <si>
    <t>备注（如单价差异较大,需说明具体原因）</t>
  </si>
  <si>
    <r>
      <rPr>
        <sz val="11"/>
        <color theme="1"/>
        <rFont val="宋体"/>
        <charset val="134"/>
      </rPr>
      <t>人工费</t>
    </r>
  </si>
  <si>
    <r>
      <rPr>
        <sz val="11"/>
        <color theme="1"/>
        <rFont val="宋体"/>
        <charset val="134"/>
      </rPr>
      <t>机械费</t>
    </r>
  </si>
  <si>
    <r>
      <rPr>
        <sz val="11"/>
        <color theme="1"/>
        <rFont val="宋体"/>
        <charset val="134"/>
      </rPr>
      <t>材料费</t>
    </r>
  </si>
  <si>
    <t>人工挖沟槽、基坑土石方</t>
  </si>
  <si>
    <t>m3</t>
  </si>
  <si>
    <t>机械整理边坡</t>
  </si>
  <si>
    <t>m2</t>
  </si>
  <si>
    <t>现浇钢筋网片制安（HRB400 Φ8及以内）</t>
  </si>
  <si>
    <t>t</t>
  </si>
  <si>
    <t>网喷射混凝土、水泥砂浆  100mm厚 C25</t>
  </si>
  <si>
    <t>素喷喷射混凝土、水泥砂浆  80mm厚C25</t>
  </si>
  <si>
    <t>泄水孔 塑料 孔径φ110mm</t>
  </si>
  <si>
    <t>m</t>
  </si>
  <si>
    <t>滤水包</t>
  </si>
  <si>
    <t>商品砼排水沟、截水沟  C25砼</t>
  </si>
  <si>
    <t>排水沟、截水沟  模板</t>
  </si>
  <si>
    <t>垫层-C15 商品砼</t>
  </si>
  <si>
    <t>垫层模板</t>
  </si>
  <si>
    <t>锚杆、锚索钻孔及灌浆（孔径110mm及以内）</t>
  </si>
  <si>
    <t>非预应力锚杆、锚索 制安</t>
  </si>
  <si>
    <t>伸缩缝 缝宽30mm 沥青麻絮填充</t>
  </si>
  <si>
    <t>安全护栏 h≥1.2m</t>
  </si>
  <si>
    <t>坡顶及坡底硬化100mm厚硬化不小于3米 C25砼</t>
  </si>
  <si>
    <t>坡顶及坡底硬化100mm 模板</t>
  </si>
  <si>
    <t>脚手架</t>
  </si>
  <si>
    <t>措施费  直接工程费的2%（安全文明施工费、二次转运、降排水措施、检测、监测、专家论证）</t>
  </si>
  <si>
    <t>项</t>
  </si>
  <si>
    <t>管理费及利润规费  按照直接工程费及措施费的10%</t>
  </si>
  <si>
    <t>税金 9%</t>
  </si>
  <si>
    <t>九</t>
  </si>
  <si>
    <t>控制价清单表</t>
  </si>
  <si>
    <t>隆润朗景台项目-基坑边坡支护工程专业分包控制价清单</t>
  </si>
  <si>
    <t>工程或费用名称</t>
  </si>
  <si>
    <t>工作内容</t>
  </si>
  <si>
    <t>工程数量</t>
  </si>
  <si>
    <t>控制价（含税9%）</t>
  </si>
  <si>
    <t>备注</t>
  </si>
  <si>
    <t>综合单价</t>
  </si>
  <si>
    <t>综合合价</t>
  </si>
  <si>
    <t>1.土石方类别:综合考虑2.开挖方式：综合考虑3.开挖深度：综合考虑4.运输方式：综合考虑5.运输距离：场内运距综合考虑（包含多次转运）6.其他要求：满足设计、规范、施工、验收要求</t>
  </si>
  <si>
    <t>1.土壤类别：综合考虑2.挖土深度：综合考虑3.开挖方式：综合考虑4.场内运距：综合考虑5.其他要求：满足设计、规范、施工、验收要求</t>
  </si>
  <si>
    <t>1.钢筋制作、运输2.钢筋安装3.绑扎、焊接4.钢筋种类、规格：HRB400 Φ8及以内5.连接方式:绑扎、焊接、机械连接综合考虑进单价6.其他要求：满足设计、规范、施工、验收要求</t>
  </si>
  <si>
    <t>1.混凝土(砂浆)制作、运输、喷射、养护2.边坡底部多余喷射砼的清除外运3.喷射施工平台搭设、拆除4.厚度：100mm厚5.材料种类：混凝土5.混凝土(砂浆)类别、强度等级：C25 6.有无钢筋(素喷/网喷)：有 7.其他要求：满足设计、规范、施工、验收要求</t>
  </si>
  <si>
    <t>1.混凝土(砂浆)制作、运输、喷射、养护2.边坡底部多余喷射砼的清除外运3.喷射施工平台搭设、拆除4.厚度：80mm厚5.材料种类：混凝土5.混凝土(砂浆)类别、强度等级：C25 6.有无钢筋(素喷/网喷)：无 7.其他要求：满足设计、规范、施工、验收要求</t>
  </si>
  <si>
    <t>1.材质：塑料2.孔径：φ110mm 3.其他要求：满足设计、规范、施工、验收要求</t>
  </si>
  <si>
    <t>1.基层处理2.配料、铺筑、整形、场内运输3.滤水层材质、规格：材质(碎石等)综合、规格按图示要求4.其他要求：满足设计、规范、施工、验收要求</t>
  </si>
  <si>
    <t>1.混凝土拌和、运输、浇筑2.整个沟身浇捣或砌筑3.材料：商品混凝土 C25 4.其他要求：满足设计、规范、施工、验收要求</t>
  </si>
  <si>
    <t>1.模板制作、安装、拆除、整理、堆放2.模板粘接物及模内杂物清理、刷隔离剂3.模板场内外运输及维修4.构件类型：排、截水沟模板5.其他要求：满足设计、规范、施工、验收要求</t>
  </si>
  <si>
    <t>1.原土打夯、清底2.混凝土制作、运输、浇筑、振捣、收光（如有）、养护3.混凝土等级：C15 4.混凝土种类：综合5.骨料配合比：综合考虑6.其他要求：满足设计、规范、施工、验收要求</t>
  </si>
  <si>
    <t>1.钻孔定位、成孔清孔2.浆液制作、运输、压浆3.锚杆(锚索)施工平台搭设、拆除4.地层情况：综合考虑5.钻孔直径：110mm及以内6.浆液种类、强度等级：M25 6.其他要求：满足设计、规范、施工、验收要求</t>
  </si>
  <si>
    <t>1.调直、下料、组合、安装等2.调直、切断、连接、安装、张拉、封锚等3.锚杆(锚索)施工平台搭设、拆除4.锚杆(索)类型部位：满足设计要求5.杆体材料品种规格数量：HRB400 φ25 6.其他要求：满足设计、规范、施工、验收要求</t>
  </si>
  <si>
    <t>1.清缝、填缝、盖缝、留缝,嵌缝2.缝宽、缝深：详设计图3.填充材质：沥青麻絮4.其他要求：满足设计、规范、施工、验收要求</t>
  </si>
  <si>
    <t>1.扶手材料种类、规格、品牌 ：栏杆高度及样式满足设计要求、满足规范要求2.栏杆的制作安装运输</t>
  </si>
  <si>
    <t>1.原土打夯、清底2.混凝土及模板制作、运输、浇筑、振捣、收光（如有）、养护3.混凝土等级：C25 4.混凝土种类：综合 5.骨料配合比：综合考虑6.其他要求：满足设计、规范、施工、验收要求</t>
  </si>
  <si>
    <t>1.场内、场外材料搬运2.搭、拆脚手架、斜道、上料平台3.拆除脚手架后材料分类堆放1.高度：综合考虑2.搭设排数：双排
3.脚手架搭设及租赁费4.其他要求：满足设计、规范、施工、验收要求</t>
  </si>
  <si>
    <t>注：
全费用合同单价中均已包括了乙方为实施和完成本合同工程所需的全部成本（除合同约定由甲方提供或承担外），包括但不限于人工、材料、机械、加工制作、运输、上下车、搬运及多次转运、安装、调试、试验、劳务用工、辅材、小型机具、周转材料、机械设备、质检（自检）、材料检测、验收检测、边坡的监测、施工临时用水用电、工人食宿、专家论证费、成品及半成品保护、安全文明生产施工费用、环境保护费用、冬雨季及夜间施工增加费、临时设施费、临时用地的征用及复耕、保险、规费、税金、垃圾清运、管理费、合理利润，以及为本工程修复缺陷的全部费用，承包本工程应承担的一切责任、义务和风险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</si>
</sst>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Red]\-#,##0.00\ "/>
    <numFmt numFmtId="178" formatCode="0.00_);[Red]\(0.00\)"/>
    <numFmt numFmtId="179" formatCode="0_);[Red]\(0\)"/>
  </numFmts>
  <fonts count="40">
    <font>
      <sz val="11"/>
      <color theme="1"/>
      <name val="宋体"/>
      <charset val="134"/>
      <scheme val="minor"/>
    </font>
    <font>
      <sz val="11"/>
      <color theme="1"/>
      <name val="宋体"/>
      <charset val="134"/>
      <scheme val="major"/>
    </font>
    <font>
      <sz val="14"/>
      <color theme="1"/>
      <name val="宋体"/>
      <charset val="134"/>
      <scheme val="major"/>
    </font>
    <font>
      <sz val="10"/>
      <color theme="1"/>
      <name val="宋体"/>
      <charset val="134"/>
      <scheme val="major"/>
    </font>
    <font>
      <sz val="9"/>
      <name val="宋体"/>
      <charset val="134"/>
    </font>
    <font>
      <sz val="9"/>
      <color theme="1"/>
      <name val="宋体"/>
      <charset val="134"/>
      <scheme val="minor"/>
    </font>
    <font>
      <sz val="10"/>
      <name val="宋体"/>
      <charset val="134"/>
    </font>
    <font>
      <sz val="11"/>
      <color theme="1"/>
      <name val="Times New Roman"/>
      <charset val="134"/>
    </font>
    <font>
      <sz val="14"/>
      <color theme="1"/>
      <name val="宋体"/>
      <charset val="134"/>
      <scheme val="minor"/>
    </font>
    <font>
      <sz val="10"/>
      <color indexed="8"/>
      <name val="宋体"/>
      <charset val="1"/>
    </font>
    <font>
      <b/>
      <sz val="11"/>
      <color theme="1"/>
      <name val="宋体"/>
      <charset val="134"/>
      <scheme val="minor"/>
    </font>
    <font>
      <b/>
      <sz val="11"/>
      <color theme="1"/>
      <name val="Times New Roman"/>
      <charset val="134"/>
    </font>
    <font>
      <sz val="11"/>
      <color theme="1"/>
      <name val="宋体"/>
      <charset val="134"/>
    </font>
    <font>
      <sz val="22"/>
      <color theme="1"/>
      <name val="方正小标宋简体"/>
      <charset val="134"/>
    </font>
    <font>
      <sz val="16"/>
      <color theme="1"/>
      <name val="黑体"/>
      <charset val="134"/>
    </font>
    <font>
      <sz val="11"/>
      <color theme="1"/>
      <name val="黑体"/>
      <charset val="134"/>
    </font>
    <font>
      <b/>
      <sz val="10"/>
      <name val="黑体"/>
      <charset val="134"/>
    </font>
    <font>
      <sz val="10"/>
      <name val="黑体"/>
      <charset val="134"/>
    </font>
    <font>
      <sz val="10"/>
      <color rgb="FF000000"/>
      <name val="黑体"/>
      <charset val="134"/>
    </font>
    <font>
      <b/>
      <sz val="11"/>
      <name val="黑体"/>
      <charset val="134"/>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8" fillId="0" borderId="0" applyNumberFormat="0" applyFill="0" applyBorder="0" applyAlignment="0" applyProtection="0">
      <alignment vertical="center"/>
    </xf>
    <xf numFmtId="0" fontId="29" fillId="4" borderId="11" applyNumberFormat="0" applyAlignment="0" applyProtection="0">
      <alignment vertical="center"/>
    </xf>
    <xf numFmtId="0" fontId="30" fillId="5" borderId="12" applyNumberFormat="0" applyAlignment="0" applyProtection="0">
      <alignment vertical="center"/>
    </xf>
    <xf numFmtId="0" fontId="31" fillId="5" borderId="11" applyNumberFormat="0" applyAlignment="0" applyProtection="0">
      <alignment vertical="center"/>
    </xf>
    <xf numFmtId="0" fontId="32" fillId="6" borderId="13" applyNumberFormat="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cellStyleXfs>
  <cellXfs count="103">
    <xf numFmtId="0" fontId="0" fillId="0" borderId="0" xfId="0"/>
    <xf numFmtId="0" fontId="1" fillId="0" borderId="0" xfId="0" applyFont="1" applyAlignment="1">
      <alignment wrapText="1"/>
    </xf>
    <xf numFmtId="0" fontId="1" fillId="0" borderId="0" xfId="0" applyFont="1"/>
    <xf numFmtId="0" fontId="1" fillId="0" borderId="0" xfId="0" applyFont="1" applyAlignment="1">
      <alignment horizontal="left" wrapText="1"/>
    </xf>
    <xf numFmtId="0" fontId="2" fillId="0" borderId="1" xfId="0" applyFont="1" applyBorder="1" applyAlignment="1">
      <alignment horizontal="center"/>
    </xf>
    <xf numFmtId="0" fontId="1" fillId="0" borderId="1" xfId="0" applyFont="1" applyBorder="1" applyAlignment="1">
      <alignment horizontal="center"/>
    </xf>
    <xf numFmtId="0" fontId="3" fillId="0" borderId="1" xfId="0" applyFont="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176" fontId="6" fillId="0" borderId="1" xfId="0" applyNumberFormat="1" applyFont="1" applyBorder="1" applyAlignment="1">
      <alignment horizontal="right" vertical="center" wrapText="1"/>
    </xf>
    <xf numFmtId="176" fontId="3" fillId="0" borderId="1" xfId="0" applyNumberFormat="1" applyFont="1" applyBorder="1" applyAlignment="1">
      <alignment horizontal="right" vertical="center" wrapText="1"/>
    </xf>
    <xf numFmtId="0" fontId="5" fillId="0" borderId="1" xfId="0" applyFont="1" applyFill="1" applyBorder="1" applyAlignment="1">
      <alignment vertical="center" wrapText="1"/>
    </xf>
    <xf numFmtId="0" fontId="6" fillId="0" borderId="1" xfId="0" applyFont="1" applyBorder="1" applyAlignment="1">
      <alignment horizontal="left" vertical="center" wrapText="1"/>
    </xf>
    <xf numFmtId="176" fontId="3" fillId="0" borderId="1" xfId="0" applyNumberFormat="1" applyFont="1" applyBorder="1" applyAlignment="1">
      <alignment horizontal="center"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0" fillId="0" borderId="0" xfId="0" applyFont="1" applyAlignment="1">
      <alignment horizontal="center" vertical="center"/>
    </xf>
    <xf numFmtId="0" fontId="0" fillId="0" borderId="0" xfId="0" applyFont="1" applyAlignment="1">
      <alignment horizontal="left" wrapText="1"/>
    </xf>
    <xf numFmtId="0" fontId="0" fillId="0" borderId="0" xfId="0" applyFont="1"/>
    <xf numFmtId="0" fontId="7" fillId="0" borderId="0" xfId="0" applyFont="1"/>
    <xf numFmtId="0" fontId="0" fillId="0" borderId="0" xfId="0" applyFont="1" applyAlignment="1">
      <alignment horizontal="center"/>
    </xf>
    <xf numFmtId="0" fontId="0" fillId="0" borderId="0" xfId="0" applyFont="1" applyAlignment="1">
      <alignment wrapText="1"/>
    </xf>
    <xf numFmtId="49" fontId="8" fillId="0" borderId="1" xfId="0" applyNumberFormat="1" applyFont="1" applyBorder="1" applyAlignment="1">
      <alignment horizontal="center" vertical="center"/>
    </xf>
    <xf numFmtId="49" fontId="0" fillId="0" borderId="1" xfId="0" applyNumberFormat="1"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center" vertical="center"/>
    </xf>
    <xf numFmtId="177" fontId="0" fillId="0" borderId="1" xfId="0" applyNumberFormat="1" applyFont="1" applyBorder="1" applyAlignment="1">
      <alignment horizontal="center" vertical="center"/>
    </xf>
    <xf numFmtId="176" fontId="7" fillId="0" borderId="1" xfId="0" applyNumberFormat="1" applyFont="1" applyBorder="1" applyAlignment="1">
      <alignment horizontal="center" vertical="center"/>
    </xf>
    <xf numFmtId="0" fontId="0" fillId="2" borderId="1" xfId="0" applyFont="1" applyFill="1" applyBorder="1" applyAlignment="1">
      <alignment horizontal="center" vertical="center"/>
    </xf>
    <xf numFmtId="0" fontId="0" fillId="2" borderId="1" xfId="0" applyFont="1" applyFill="1" applyBorder="1" applyAlignment="1">
      <alignment horizontal="left" vertical="center" wrapText="1"/>
    </xf>
    <xf numFmtId="178" fontId="0" fillId="2" borderId="1" xfId="0" applyNumberFormat="1" applyFont="1" applyFill="1" applyBorder="1" applyAlignment="1">
      <alignment horizontal="center" vertical="center"/>
    </xf>
    <xf numFmtId="176" fontId="7" fillId="2" borderId="1"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0" fillId="0" borderId="1" xfId="0" applyNumberFormat="1" applyFont="1" applyBorder="1" applyAlignment="1">
      <alignment horizontal="center" vertical="center"/>
    </xf>
    <xf numFmtId="178" fontId="7" fillId="0" borderId="1" xfId="0" applyNumberFormat="1" applyFont="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left" vertical="center" wrapText="1"/>
    </xf>
    <xf numFmtId="178" fontId="10" fillId="2" borderId="1" xfId="0" applyNumberFormat="1" applyFont="1" applyFill="1" applyBorder="1" applyAlignment="1">
      <alignment horizontal="center" vertical="center"/>
    </xf>
    <xf numFmtId="176" fontId="11" fillId="2" borderId="1" xfId="0" applyNumberFormat="1" applyFont="1" applyFill="1" applyBorder="1" applyAlignment="1">
      <alignment horizontal="center" vertical="center"/>
    </xf>
    <xf numFmtId="49" fontId="8" fillId="0" borderId="1" xfId="0" applyNumberFormat="1" applyFont="1" applyBorder="1" applyAlignment="1">
      <alignment horizontal="center" vertical="center" wrapText="1"/>
    </xf>
    <xf numFmtId="0" fontId="0" fillId="0" borderId="4" xfId="0" applyFont="1" applyBorder="1" applyAlignment="1">
      <alignment horizontal="center" vertical="center"/>
    </xf>
    <xf numFmtId="0" fontId="12" fillId="0" borderId="5" xfId="0" applyFont="1" applyBorder="1" applyAlignment="1">
      <alignment horizontal="center" vertical="center" wrapText="1"/>
    </xf>
    <xf numFmtId="0" fontId="0" fillId="0" borderId="5" xfId="0" applyFont="1" applyBorder="1" applyAlignment="1">
      <alignment horizontal="center" vertical="center" wrapText="1"/>
    </xf>
    <xf numFmtId="176" fontId="0" fillId="0" borderId="1" xfId="0" applyNumberFormat="1" applyFont="1" applyBorder="1" applyAlignment="1">
      <alignment horizontal="center" vertical="center"/>
    </xf>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7" fillId="0" borderId="6" xfId="0" applyFont="1" applyBorder="1" applyAlignment="1">
      <alignment horizontal="center" vertical="center" wrapText="1"/>
    </xf>
    <xf numFmtId="0" fontId="0" fillId="0" borderId="6" xfId="0" applyFont="1" applyBorder="1" applyAlignment="1">
      <alignment horizontal="center" vertical="center" wrapText="1"/>
    </xf>
    <xf numFmtId="0" fontId="0" fillId="0" borderId="6" xfId="0" applyFont="1" applyBorder="1" applyAlignment="1">
      <alignment horizontal="center" vertical="center"/>
    </xf>
    <xf numFmtId="176" fontId="0" fillId="0" borderId="5" xfId="0" applyNumberFormat="1" applyFont="1" applyBorder="1" applyAlignment="1">
      <alignment horizontal="center" vertical="center"/>
    </xf>
    <xf numFmtId="0" fontId="0" fillId="0" borderId="5" xfId="0" applyFont="1" applyBorder="1" applyAlignment="1">
      <alignment vertical="center" wrapText="1"/>
    </xf>
    <xf numFmtId="0" fontId="7" fillId="0" borderId="7" xfId="0" applyFont="1" applyBorder="1" applyAlignment="1">
      <alignment horizontal="center" vertical="center" wrapText="1"/>
    </xf>
    <xf numFmtId="0" fontId="0" fillId="0" borderId="7" xfId="0" applyFont="1" applyBorder="1" applyAlignment="1">
      <alignment horizontal="center" vertical="center" wrapText="1"/>
    </xf>
    <xf numFmtId="0" fontId="0" fillId="0" borderId="7" xfId="0" applyFont="1" applyBorder="1" applyAlignment="1">
      <alignment horizontal="center" vertical="center"/>
    </xf>
    <xf numFmtId="176" fontId="0" fillId="0" borderId="7" xfId="0" applyNumberFormat="1" applyFont="1" applyBorder="1" applyAlignment="1">
      <alignment horizontal="center" vertical="center"/>
    </xf>
    <xf numFmtId="0" fontId="0" fillId="0" borderId="7" xfId="0" applyFont="1" applyBorder="1" applyAlignment="1">
      <alignment vertical="center" wrapText="1"/>
    </xf>
    <xf numFmtId="176" fontId="0" fillId="2" borderId="1" xfId="0" applyNumberFormat="1" applyFont="1" applyFill="1" applyBorder="1" applyAlignment="1">
      <alignment horizontal="center" vertical="center"/>
    </xf>
    <xf numFmtId="10" fontId="0" fillId="2" borderId="1" xfId="0" applyNumberFormat="1" applyFont="1" applyFill="1" applyBorder="1" applyAlignment="1">
      <alignment horizontal="center" vertical="center"/>
    </xf>
    <xf numFmtId="10" fontId="0" fillId="2" borderId="1" xfId="0" applyNumberFormat="1" applyFont="1" applyFill="1" applyBorder="1" applyAlignment="1">
      <alignment vertical="center" wrapText="1"/>
    </xf>
    <xf numFmtId="177" fontId="0" fillId="2" borderId="1" xfId="0" applyNumberFormat="1" applyFont="1" applyFill="1" applyBorder="1" applyAlignment="1">
      <alignment horizontal="center" vertical="center" wrapText="1"/>
    </xf>
    <xf numFmtId="178" fontId="0" fillId="0" borderId="1" xfId="0" applyNumberFormat="1" applyFont="1" applyBorder="1" applyAlignment="1">
      <alignment horizontal="center" vertical="center"/>
    </xf>
    <xf numFmtId="10" fontId="0" fillId="0" borderId="1" xfId="0" applyNumberFormat="1" applyFont="1" applyBorder="1" applyAlignment="1">
      <alignment horizontal="center" vertical="center"/>
    </xf>
    <xf numFmtId="176" fontId="10" fillId="2" borderId="1" xfId="0" applyNumberFormat="1" applyFont="1" applyFill="1" applyBorder="1" applyAlignment="1">
      <alignment horizontal="center" vertical="center"/>
    </xf>
    <xf numFmtId="10" fontId="10" fillId="2" borderId="1" xfId="0" applyNumberFormat="1" applyFont="1" applyFill="1" applyBorder="1" applyAlignment="1">
      <alignment horizontal="center" vertical="center"/>
    </xf>
    <xf numFmtId="10" fontId="10" fillId="2" borderId="1" xfId="0" applyNumberFormat="1" applyFont="1" applyFill="1" applyBorder="1" applyAlignment="1">
      <alignment vertical="center" wrapText="1"/>
    </xf>
    <xf numFmtId="177" fontId="10" fillId="2" borderId="1" xfId="0" applyNumberFormat="1" applyFont="1" applyFill="1" applyBorder="1" applyAlignment="1">
      <alignment horizontal="center" vertical="center" wrapText="1"/>
    </xf>
    <xf numFmtId="0" fontId="13" fillId="0" borderId="0" xfId="0" applyFont="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vertical="center"/>
    </xf>
    <xf numFmtId="0" fontId="15" fillId="0" borderId="1" xfId="0" applyFont="1" applyBorder="1" applyAlignment="1">
      <alignment vertical="center" wrapText="1"/>
    </xf>
    <xf numFmtId="0" fontId="15" fillId="0" borderId="1" xfId="0" applyFont="1" applyFill="1" applyBorder="1" applyAlignment="1">
      <alignment horizontal="center" vertical="center"/>
    </xf>
    <xf numFmtId="0" fontId="15" fillId="0" borderId="1" xfId="0" applyFont="1" applyFill="1" applyBorder="1" applyAlignment="1">
      <alignment vertical="center"/>
    </xf>
    <xf numFmtId="0" fontId="15" fillId="0" borderId="1" xfId="0" applyFont="1" applyFill="1" applyBorder="1" applyAlignment="1">
      <alignment horizontal="left" vertical="center"/>
    </xf>
    <xf numFmtId="0" fontId="14"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178" fontId="19" fillId="0" borderId="1" xfId="0" applyNumberFormat="1"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10" fontId="19" fillId="0" borderId="1" xfId="3"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78" fontId="15" fillId="0" borderId="1" xfId="0" applyNumberFormat="1" applyFont="1" applyFill="1" applyBorder="1" applyAlignment="1">
      <alignment horizontal="center" vertical="center" wrapText="1"/>
    </xf>
    <xf numFmtId="179" fontId="20" fillId="0" borderId="1" xfId="0" applyNumberFormat="1" applyFont="1" applyFill="1" applyBorder="1" applyAlignment="1">
      <alignment horizontal="center" vertical="center" wrapText="1"/>
    </xf>
    <xf numFmtId="178" fontId="20" fillId="0" borderId="1" xfId="0" applyNumberFormat="1" applyFont="1" applyFill="1" applyBorder="1" applyAlignment="1">
      <alignment horizontal="center" vertical="center" wrapText="1"/>
    </xf>
    <xf numFmtId="178" fontId="15" fillId="0" borderId="5" xfId="0" applyNumberFormat="1" applyFont="1" applyFill="1" applyBorder="1" applyAlignment="1">
      <alignment horizontal="center" vertical="center" wrapText="1"/>
    </xf>
    <xf numFmtId="10" fontId="20" fillId="0" borderId="1" xfId="3" applyNumberFormat="1" applyFont="1" applyFill="1" applyBorder="1" applyAlignment="1">
      <alignment horizontal="right" vertical="center" wrapText="1"/>
    </xf>
    <xf numFmtId="178" fontId="15" fillId="0" borderId="6" xfId="0" applyNumberFormat="1" applyFont="1" applyFill="1" applyBorder="1" applyAlignment="1">
      <alignment horizontal="center" vertical="center" wrapText="1"/>
    </xf>
    <xf numFmtId="178" fontId="15" fillId="0" borderId="7" xfId="0" applyNumberFormat="1"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20" fillId="0" borderId="1" xfId="0" applyFont="1" applyFill="1" applyBorder="1" applyAlignment="1">
      <alignment horizontal="center" vertical="center" wrapText="1"/>
    </xf>
    <xf numFmtId="178" fontId="0" fillId="0" borderId="0" xfId="0" applyNumberFormat="1"/>
    <xf numFmtId="0" fontId="15" fillId="0" borderId="4"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showZeros="0" zoomScaleSheetLayoutView="85" workbookViewId="0">
      <selection activeCell="I15" sqref="I15"/>
    </sheetView>
  </sheetViews>
  <sheetFormatPr defaultColWidth="9" defaultRowHeight="13.5"/>
  <cols>
    <col min="1" max="1" width="20.375" customWidth="1"/>
    <col min="2" max="2" width="27.75" customWidth="1"/>
    <col min="3" max="4" width="15.75" customWidth="1"/>
    <col min="5" max="5" width="15.375" customWidth="1"/>
    <col min="6" max="6" width="15.75" customWidth="1"/>
    <col min="7" max="7" width="12.125" customWidth="1"/>
    <col min="8" max="8" width="12.75" customWidth="1"/>
    <col min="9" max="9" width="9.375"/>
    <col min="10" max="10" width="12.75" customWidth="1"/>
    <col min="12" max="12" width="13.375" customWidth="1"/>
    <col min="13" max="13" width="12.75" customWidth="1"/>
  </cols>
  <sheetData>
    <row r="1" ht="27" customHeight="1" spans="1:9">
      <c r="A1" s="74" t="s">
        <v>0</v>
      </c>
      <c r="B1" s="74"/>
      <c r="C1" s="74"/>
      <c r="D1" s="74"/>
      <c r="E1" s="74"/>
      <c r="F1" s="74"/>
      <c r="G1" s="74"/>
      <c r="H1" s="74"/>
      <c r="I1" s="74"/>
    </row>
    <row r="2" ht="24" customHeight="1" spans="1:9">
      <c r="A2" s="75" t="s">
        <v>1</v>
      </c>
      <c r="B2" s="75"/>
      <c r="C2" s="75"/>
      <c r="D2" s="75"/>
      <c r="E2" s="75"/>
      <c r="F2" s="75"/>
      <c r="G2" s="75"/>
      <c r="H2" s="75"/>
      <c r="I2" s="75"/>
    </row>
    <row r="3" ht="21" customHeight="1" spans="1:9">
      <c r="A3" s="76" t="s">
        <v>2</v>
      </c>
      <c r="B3" s="77" t="s">
        <v>3</v>
      </c>
      <c r="C3" s="77"/>
      <c r="D3" s="77"/>
      <c r="E3" s="77"/>
      <c r="F3" s="77"/>
      <c r="G3" s="77"/>
      <c r="H3" s="77"/>
      <c r="I3" s="77"/>
    </row>
    <row r="4" ht="39" customHeight="1" spans="1:9">
      <c r="A4" s="76" t="s">
        <v>4</v>
      </c>
      <c r="B4" s="78"/>
      <c r="C4" s="78"/>
      <c r="D4" s="78"/>
      <c r="E4" s="78"/>
      <c r="F4" s="78"/>
      <c r="G4" s="78"/>
      <c r="H4" s="78"/>
      <c r="I4" s="78"/>
    </row>
    <row r="5" ht="17" customHeight="1" spans="1:9">
      <c r="A5" s="79" t="s">
        <v>5</v>
      </c>
      <c r="B5" s="80"/>
      <c r="C5" s="80"/>
      <c r="D5" s="80"/>
      <c r="E5" s="80"/>
      <c r="F5" s="80"/>
      <c r="G5" s="80"/>
      <c r="H5" s="80"/>
      <c r="I5" s="80"/>
    </row>
    <row r="6" ht="15" customHeight="1" spans="1:9">
      <c r="A6" s="79" t="s">
        <v>6</v>
      </c>
      <c r="B6" s="81"/>
      <c r="C6" s="81"/>
      <c r="D6" s="81"/>
      <c r="E6" s="81"/>
      <c r="F6" s="81"/>
      <c r="G6" s="81"/>
      <c r="H6" s="81"/>
      <c r="I6" s="81"/>
    </row>
    <row r="7" ht="20.25" spans="1:9">
      <c r="A7" s="82" t="s">
        <v>7</v>
      </c>
      <c r="B7" s="82"/>
      <c r="C7" s="82"/>
      <c r="D7" s="82"/>
      <c r="E7" s="82"/>
      <c r="F7" s="82"/>
      <c r="G7" s="82"/>
      <c r="H7" s="82"/>
      <c r="I7" s="82"/>
    </row>
    <row r="8" ht="13" customHeight="1" spans="1:9">
      <c r="A8" s="83" t="s">
        <v>8</v>
      </c>
      <c r="B8" s="84" t="s">
        <v>9</v>
      </c>
      <c r="C8" s="84" t="s">
        <v>6</v>
      </c>
      <c r="D8" s="84" t="s">
        <v>10</v>
      </c>
      <c r="E8" s="85" t="s">
        <v>11</v>
      </c>
      <c r="F8" s="85"/>
      <c r="G8" s="84" t="s">
        <v>12</v>
      </c>
      <c r="H8" s="84" t="s">
        <v>13</v>
      </c>
      <c r="I8" s="84" t="s">
        <v>14</v>
      </c>
    </row>
    <row r="9" ht="18" customHeight="1" spans="1:9">
      <c r="A9" s="83"/>
      <c r="B9" s="84"/>
      <c r="C9" s="84"/>
      <c r="D9" s="84"/>
      <c r="E9" s="84" t="s">
        <v>15</v>
      </c>
      <c r="F9" s="84" t="s">
        <v>16</v>
      </c>
      <c r="G9" s="84"/>
      <c r="H9" s="84"/>
      <c r="I9" s="84"/>
    </row>
    <row r="10" ht="19" customHeight="1" spans="1:9">
      <c r="A10" s="86" t="s">
        <v>17</v>
      </c>
      <c r="B10" s="86" t="s">
        <v>18</v>
      </c>
      <c r="C10" s="87" t="s">
        <v>19</v>
      </c>
      <c r="D10" s="87">
        <f>SUM(D11:D13)</f>
        <v>1239848.85</v>
      </c>
      <c r="E10" s="86" t="s">
        <v>20</v>
      </c>
      <c r="F10" s="88">
        <f>SUM(F11:F13)</f>
        <v>1239848.85</v>
      </c>
      <c r="G10" s="88">
        <f>SUM(G11:G13)</f>
        <v>102372.840825688</v>
      </c>
      <c r="H10" s="89">
        <f>SUM(H11:H13)</f>
        <v>1</v>
      </c>
      <c r="I10" s="84"/>
    </row>
    <row r="11" ht="19" customHeight="1" spans="1:10">
      <c r="A11" s="90">
        <v>1</v>
      </c>
      <c r="B11" s="90" t="s">
        <v>21</v>
      </c>
      <c r="C11" s="91" t="s">
        <v>19</v>
      </c>
      <c r="D11" s="91">
        <f>控制价分析表!J6</f>
        <v>1239848.85</v>
      </c>
      <c r="E11" s="92" t="s">
        <v>22</v>
      </c>
      <c r="F11" s="93">
        <f>D11</f>
        <v>1239848.85</v>
      </c>
      <c r="G11" s="94">
        <f>F11/1.09*0.09</f>
        <v>102372.840825688</v>
      </c>
      <c r="H11" s="95">
        <f>F11/$F$10</f>
        <v>1</v>
      </c>
      <c r="I11" s="100" t="s">
        <v>23</v>
      </c>
      <c r="J11" s="101"/>
    </row>
    <row r="12" ht="19" customHeight="1" spans="1:10">
      <c r="A12" s="90">
        <v>2</v>
      </c>
      <c r="B12" s="90"/>
      <c r="C12" s="91"/>
      <c r="D12" s="91"/>
      <c r="E12" s="92"/>
      <c r="F12" s="93"/>
      <c r="G12" s="96"/>
      <c r="H12" s="95"/>
      <c r="I12" s="100"/>
      <c r="J12" s="101"/>
    </row>
    <row r="13" ht="19" customHeight="1" spans="1:9">
      <c r="A13" s="90">
        <v>3</v>
      </c>
      <c r="B13" s="90"/>
      <c r="C13" s="91"/>
      <c r="D13" s="91"/>
      <c r="E13" s="92"/>
      <c r="F13" s="93"/>
      <c r="G13" s="97"/>
      <c r="H13" s="95"/>
      <c r="I13" s="100"/>
    </row>
    <row r="14" ht="25" customHeight="1" spans="1:9">
      <c r="A14" s="86" t="s">
        <v>24</v>
      </c>
      <c r="B14" s="83" t="s">
        <v>6</v>
      </c>
      <c r="C14" s="88" t="str">
        <f>C10</f>
        <v>/</v>
      </c>
      <c r="D14" s="88"/>
      <c r="E14" s="88"/>
      <c r="F14" s="88"/>
      <c r="G14" s="88"/>
      <c r="H14" s="88"/>
      <c r="I14" s="90"/>
    </row>
    <row r="15" ht="25" customHeight="1" spans="1:9">
      <c r="A15" s="86" t="s">
        <v>25</v>
      </c>
      <c r="B15" s="83" t="s">
        <v>10</v>
      </c>
      <c r="C15" s="88">
        <f>D10</f>
        <v>1239848.85</v>
      </c>
      <c r="D15" s="88"/>
      <c r="E15" s="88"/>
      <c r="F15" s="88"/>
      <c r="G15" s="88"/>
      <c r="H15" s="88"/>
      <c r="I15" s="90"/>
    </row>
    <row r="16" ht="25" customHeight="1" spans="1:9">
      <c r="A16" s="86" t="s">
        <v>26</v>
      </c>
      <c r="B16" s="83" t="s">
        <v>27</v>
      </c>
      <c r="C16" s="88" t="s">
        <v>19</v>
      </c>
      <c r="D16" s="88"/>
      <c r="E16" s="88"/>
      <c r="F16" s="88"/>
      <c r="G16" s="88"/>
      <c r="H16" s="88"/>
      <c r="I16" s="90"/>
    </row>
    <row r="17" ht="25" customHeight="1" spans="1:9">
      <c r="A17" s="86" t="s">
        <v>28</v>
      </c>
      <c r="B17" s="83" t="s">
        <v>29</v>
      </c>
      <c r="C17" s="89" t="s">
        <v>19</v>
      </c>
      <c r="D17" s="89"/>
      <c r="E17" s="89"/>
      <c r="F17" s="89"/>
      <c r="G17" s="89"/>
      <c r="H17" s="89"/>
      <c r="I17" s="90"/>
    </row>
    <row r="18" ht="17" customHeight="1" spans="1:9">
      <c r="A18" s="79" t="s">
        <v>30</v>
      </c>
      <c r="B18" s="90" t="s">
        <v>19</v>
      </c>
      <c r="C18" s="90"/>
      <c r="D18" s="90"/>
      <c r="E18" s="90"/>
      <c r="F18" s="90"/>
      <c r="G18" s="90"/>
      <c r="H18" s="90"/>
      <c r="I18" s="90"/>
    </row>
    <row r="19" ht="34" customHeight="1" spans="1:9">
      <c r="A19" s="79" t="s">
        <v>31</v>
      </c>
      <c r="B19" s="98"/>
      <c r="C19" s="99"/>
      <c r="D19" s="99"/>
      <c r="E19" s="99"/>
      <c r="F19" s="99"/>
      <c r="G19" s="99"/>
      <c r="H19" s="99"/>
      <c r="I19" s="102"/>
    </row>
  </sheetData>
  <mergeCells count="26">
    <mergeCell ref="A1:I1"/>
    <mergeCell ref="A2:I2"/>
    <mergeCell ref="B3:I3"/>
    <mergeCell ref="B4:I4"/>
    <mergeCell ref="B5:I5"/>
    <mergeCell ref="B6:I6"/>
    <mergeCell ref="A7:I7"/>
    <mergeCell ref="E8:F8"/>
    <mergeCell ref="C14:H14"/>
    <mergeCell ref="C15:H15"/>
    <mergeCell ref="C16:H16"/>
    <mergeCell ref="C17:H17"/>
    <mergeCell ref="B18:I18"/>
    <mergeCell ref="B19:I19"/>
    <mergeCell ref="A8:A9"/>
    <mergeCell ref="B8:B9"/>
    <mergeCell ref="C8:C9"/>
    <mergeCell ref="D8:D9"/>
    <mergeCell ref="E11:E13"/>
    <mergeCell ref="F11:F13"/>
    <mergeCell ref="G8:G9"/>
    <mergeCell ref="G11:G13"/>
    <mergeCell ref="H8:H9"/>
    <mergeCell ref="H11:H13"/>
    <mergeCell ref="I8:I9"/>
    <mergeCell ref="I11:I13"/>
  </mergeCells>
  <pageMargins left="0.7" right="0.7" top="0.75" bottom="0.75" header="0.3" footer="0.3"/>
  <pageSetup paperSize="9" scale="9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P31"/>
  <sheetViews>
    <sheetView showZeros="0" zoomScale="85" zoomScaleNormal="85" zoomScaleSheetLayoutView="55" workbookViewId="0">
      <pane ySplit="5" topLeftCell="A6" activePane="bottomLeft" state="frozen"/>
      <selection/>
      <selection pane="bottomLeft" activeCell="U16" sqref="U16"/>
    </sheetView>
  </sheetViews>
  <sheetFormatPr defaultColWidth="9" defaultRowHeight="24" customHeight="1"/>
  <cols>
    <col min="1" max="1" width="15" style="22" customWidth="1"/>
    <col min="2" max="2" width="30.7333333333333" style="23" customWidth="1"/>
    <col min="3" max="3" width="10.125" style="24" customWidth="1"/>
    <col min="4" max="4" width="12.75" style="24" customWidth="1"/>
    <col min="5" max="5" width="12.75" style="24" hidden="1" customWidth="1"/>
    <col min="6" max="8" width="14.25" style="25" hidden="1" customWidth="1"/>
    <col min="9" max="9" width="18.0833333333333" style="25" customWidth="1"/>
    <col min="10" max="10" width="14.5" style="25" customWidth="1"/>
    <col min="11" max="11" width="12.75" style="26" hidden="1" customWidth="1"/>
    <col min="12" max="12" width="18.625" style="26" hidden="1" customWidth="1"/>
    <col min="13" max="13" width="15.375" style="24" hidden="1" customWidth="1"/>
    <col min="14" max="14" width="12.25" style="24" hidden="1" customWidth="1"/>
    <col min="15" max="15" width="26.3166666666667" style="27" hidden="1" customWidth="1"/>
    <col min="16" max="16" width="27.875" style="27" hidden="1" customWidth="1"/>
    <col min="17" max="16384" width="9" style="24"/>
  </cols>
  <sheetData>
    <row r="2" customHeight="1" spans="1:16">
      <c r="A2" s="28" t="s">
        <v>32</v>
      </c>
      <c r="B2" s="28"/>
      <c r="C2" s="28"/>
      <c r="D2" s="28"/>
      <c r="E2" s="28"/>
      <c r="F2" s="28"/>
      <c r="G2" s="28"/>
      <c r="H2" s="28"/>
      <c r="I2" s="28"/>
      <c r="J2" s="28"/>
      <c r="K2" s="28"/>
      <c r="L2" s="28"/>
      <c r="M2" s="28"/>
      <c r="N2" s="28"/>
      <c r="O2" s="47"/>
      <c r="P2" s="28"/>
    </row>
    <row r="3" customHeight="1" spans="1:16">
      <c r="A3" s="29" t="s">
        <v>33</v>
      </c>
      <c r="B3" s="30" t="s">
        <v>3</v>
      </c>
      <c r="C3" s="31"/>
      <c r="D3" s="31"/>
      <c r="E3" s="31"/>
      <c r="F3" s="31"/>
      <c r="G3" s="31"/>
      <c r="H3" s="31"/>
      <c r="I3" s="48"/>
      <c r="J3" s="49" t="s">
        <v>34</v>
      </c>
      <c r="K3" s="50" t="s">
        <v>35</v>
      </c>
      <c r="L3" s="50" t="s">
        <v>36</v>
      </c>
      <c r="M3" s="51" t="s">
        <v>37</v>
      </c>
      <c r="N3" s="33">
        <f>项目概况!B5</f>
        <v>0</v>
      </c>
      <c r="O3" s="52"/>
      <c r="P3" s="53" t="s">
        <v>38</v>
      </c>
    </row>
    <row r="4" customHeight="1" spans="1:16">
      <c r="A4" s="29" t="s">
        <v>8</v>
      </c>
      <c r="B4" s="32" t="s">
        <v>39</v>
      </c>
      <c r="C4" s="33" t="s">
        <v>40</v>
      </c>
      <c r="D4" s="34" t="s">
        <v>41</v>
      </c>
      <c r="E4" s="34" t="s">
        <v>42</v>
      </c>
      <c r="F4" s="35" t="s">
        <v>43</v>
      </c>
      <c r="G4" s="35"/>
      <c r="H4" s="35"/>
      <c r="I4" s="49" t="s">
        <v>44</v>
      </c>
      <c r="J4" s="54"/>
      <c r="K4" s="55"/>
      <c r="L4" s="56"/>
      <c r="M4" s="57" t="s">
        <v>45</v>
      </c>
      <c r="N4" s="50" t="s">
        <v>46</v>
      </c>
      <c r="O4" s="58" t="s">
        <v>47</v>
      </c>
      <c r="P4" s="50" t="s">
        <v>48</v>
      </c>
    </row>
    <row r="5" customHeight="1" spans="1:16">
      <c r="A5" s="29"/>
      <c r="B5" s="32"/>
      <c r="C5" s="33"/>
      <c r="D5" s="34"/>
      <c r="E5" s="34"/>
      <c r="F5" s="35" t="s">
        <v>49</v>
      </c>
      <c r="G5" s="35" t="s">
        <v>50</v>
      </c>
      <c r="H5" s="35" t="s">
        <v>51</v>
      </c>
      <c r="I5" s="59"/>
      <c r="J5" s="59"/>
      <c r="K5" s="60"/>
      <c r="L5" s="61"/>
      <c r="M5" s="62"/>
      <c r="N5" s="60"/>
      <c r="O5" s="63"/>
      <c r="P5" s="60"/>
    </row>
    <row r="6" ht="34" customHeight="1" spans="1:16">
      <c r="A6" s="36" t="s">
        <v>17</v>
      </c>
      <c r="B6" s="37" t="s">
        <v>21</v>
      </c>
      <c r="C6" s="36"/>
      <c r="D6" s="38"/>
      <c r="E6" s="38"/>
      <c r="F6" s="39"/>
      <c r="G6" s="39">
        <f>SUMPRODUCT($D$7:$D$24,G7:G24)</f>
        <v>0</v>
      </c>
      <c r="H6" s="39">
        <f>SUMPRODUCT($D$7:$D$24,H7:H24)</f>
        <v>0</v>
      </c>
      <c r="I6" s="39"/>
      <c r="J6" s="38">
        <f>SUM(J7:J27)</f>
        <v>1239848.85</v>
      </c>
      <c r="K6" s="38"/>
      <c r="L6" s="38">
        <f>SUM(L7:L27)</f>
        <v>1172534.0375232</v>
      </c>
      <c r="M6" s="64">
        <f>J6-L6</f>
        <v>67314.8124768001</v>
      </c>
      <c r="N6" s="65">
        <f>M6/L6</f>
        <v>0.0574096873289857</v>
      </c>
      <c r="O6" s="66"/>
      <c r="P6" s="67"/>
    </row>
    <row r="7" ht="26" customHeight="1" spans="1:16">
      <c r="A7" s="40">
        <v>1</v>
      </c>
      <c r="B7" s="32" t="s">
        <v>52</v>
      </c>
      <c r="C7" s="33" t="s">
        <v>53</v>
      </c>
      <c r="D7" s="41">
        <v>230.16</v>
      </c>
      <c r="E7" s="41"/>
      <c r="F7" s="35"/>
      <c r="G7" s="35"/>
      <c r="H7" s="42"/>
      <c r="I7" s="42">
        <v>55.12</v>
      </c>
      <c r="J7" s="42">
        <f>ROUND(D7*I7,2)</f>
        <v>12686.42</v>
      </c>
      <c r="K7" s="68">
        <v>40</v>
      </c>
      <c r="L7" s="68">
        <f>ROUND(K7*D7,2)</f>
        <v>9206.4</v>
      </c>
      <c r="M7" s="51">
        <f>J7-L7</f>
        <v>3480.02</v>
      </c>
      <c r="N7" s="69">
        <f t="shared" ref="N7:N19" si="0">M7/$L$6</f>
        <v>0.00296794795599368</v>
      </c>
      <c r="O7" s="18"/>
      <c r="P7" s="10"/>
    </row>
    <row r="8" ht="26" customHeight="1" spans="1:16">
      <c r="A8" s="40">
        <v>2</v>
      </c>
      <c r="B8" s="32" t="s">
        <v>54</v>
      </c>
      <c r="C8" s="33" t="s">
        <v>55</v>
      </c>
      <c r="D8" s="41">
        <v>4984.98</v>
      </c>
      <c r="E8" s="41"/>
      <c r="F8" s="35"/>
      <c r="G8" s="35"/>
      <c r="H8" s="42"/>
      <c r="I8" s="42">
        <v>2.56</v>
      </c>
      <c r="J8" s="42">
        <f t="shared" ref="J8:J24" si="1">ROUND(D8*I8,2)</f>
        <v>12761.55</v>
      </c>
      <c r="K8" s="68">
        <v>2</v>
      </c>
      <c r="L8" s="68">
        <f t="shared" ref="L8:L39" si="2">ROUND(K8*D8,2)</f>
        <v>9969.96</v>
      </c>
      <c r="M8" s="51">
        <f t="shared" ref="M8:M24" si="3">J8-L8</f>
        <v>2791.59</v>
      </c>
      <c r="N8" s="69">
        <f t="shared" si="0"/>
        <v>0.00238081787876863</v>
      </c>
      <c r="O8" s="18"/>
      <c r="P8" s="10"/>
    </row>
    <row r="9" ht="26" customHeight="1" spans="1:16">
      <c r="A9" s="40">
        <v>3</v>
      </c>
      <c r="B9" s="32" t="s">
        <v>56</v>
      </c>
      <c r="C9" s="33" t="s">
        <v>57</v>
      </c>
      <c r="D9" s="41">
        <v>5.13</v>
      </c>
      <c r="E9" s="41"/>
      <c r="F9" s="35"/>
      <c r="G9" s="35"/>
      <c r="H9" s="42"/>
      <c r="I9" s="42">
        <v>5954.12</v>
      </c>
      <c r="J9" s="42">
        <f t="shared" si="1"/>
        <v>30544.64</v>
      </c>
      <c r="K9" s="68">
        <v>4078.03808187135</v>
      </c>
      <c r="L9" s="68">
        <f t="shared" si="2"/>
        <v>20920.34</v>
      </c>
      <c r="M9" s="51">
        <f t="shared" si="3"/>
        <v>9624.3</v>
      </c>
      <c r="N9" s="69">
        <f t="shared" si="0"/>
        <v>0.00820811992829638</v>
      </c>
      <c r="O9" s="18"/>
      <c r="P9" s="10"/>
    </row>
    <row r="10" ht="26" customHeight="1" spans="1:16">
      <c r="A10" s="40">
        <v>4</v>
      </c>
      <c r="B10" s="32" t="s">
        <v>58</v>
      </c>
      <c r="C10" s="33" t="s">
        <v>55</v>
      </c>
      <c r="D10" s="41">
        <v>960.3</v>
      </c>
      <c r="E10" s="41"/>
      <c r="F10" s="35"/>
      <c r="G10" s="35"/>
      <c r="H10" s="42"/>
      <c r="I10" s="42">
        <v>119.38</v>
      </c>
      <c r="J10" s="42">
        <f t="shared" si="1"/>
        <v>114640.61</v>
      </c>
      <c r="K10" s="68">
        <v>83.416</v>
      </c>
      <c r="L10" s="68">
        <f t="shared" si="2"/>
        <v>80104.38</v>
      </c>
      <c r="M10" s="51">
        <f t="shared" si="3"/>
        <v>34536.23</v>
      </c>
      <c r="N10" s="69">
        <f t="shared" si="0"/>
        <v>0.0294543517670093</v>
      </c>
      <c r="O10" s="18"/>
      <c r="P10" s="10"/>
    </row>
    <row r="11" ht="26" customHeight="1" spans="1:16">
      <c r="A11" s="40">
        <v>5</v>
      </c>
      <c r="B11" s="32" t="s">
        <v>59</v>
      </c>
      <c r="C11" s="33" t="s">
        <v>55</v>
      </c>
      <c r="D11" s="41">
        <v>4024.68</v>
      </c>
      <c r="E11" s="41"/>
      <c r="F11" s="35"/>
      <c r="G11" s="35"/>
      <c r="H11" s="42"/>
      <c r="I11" s="42">
        <v>95.1</v>
      </c>
      <c r="J11" s="42">
        <f t="shared" si="1"/>
        <v>382747.07</v>
      </c>
      <c r="K11" s="68">
        <v>72.6968</v>
      </c>
      <c r="L11" s="68">
        <f t="shared" si="2"/>
        <v>292581.36</v>
      </c>
      <c r="M11" s="51">
        <f t="shared" si="3"/>
        <v>90165.71</v>
      </c>
      <c r="N11" s="69">
        <f t="shared" si="0"/>
        <v>0.0768981599804654</v>
      </c>
      <c r="O11" s="18"/>
      <c r="P11" s="10"/>
    </row>
    <row r="12" ht="26" customHeight="1" spans="1:16">
      <c r="A12" s="40">
        <v>6</v>
      </c>
      <c r="B12" s="32" t="s">
        <v>60</v>
      </c>
      <c r="C12" s="33" t="s">
        <v>61</v>
      </c>
      <c r="D12" s="41">
        <v>239</v>
      </c>
      <c r="E12" s="41"/>
      <c r="F12" s="35"/>
      <c r="G12" s="35"/>
      <c r="H12" s="42"/>
      <c r="I12" s="42">
        <v>71.78</v>
      </c>
      <c r="J12" s="42">
        <f t="shared" si="1"/>
        <v>17155.42</v>
      </c>
      <c r="K12" s="68">
        <v>23.1</v>
      </c>
      <c r="L12" s="68">
        <f t="shared" si="2"/>
        <v>5520.9</v>
      </c>
      <c r="M12" s="51">
        <f t="shared" si="3"/>
        <v>11634.52</v>
      </c>
      <c r="N12" s="69">
        <f t="shared" si="0"/>
        <v>0.00992254350634985</v>
      </c>
      <c r="O12" s="18"/>
      <c r="P12" s="10"/>
    </row>
    <row r="13" ht="26" customHeight="1" spans="1:16">
      <c r="A13" s="40">
        <v>7</v>
      </c>
      <c r="B13" s="32" t="s">
        <v>62</v>
      </c>
      <c r="C13" s="33" t="s">
        <v>53</v>
      </c>
      <c r="D13" s="41">
        <v>16</v>
      </c>
      <c r="E13" s="41"/>
      <c r="F13" s="35"/>
      <c r="G13" s="35"/>
      <c r="H13" s="42"/>
      <c r="I13" s="42">
        <v>267.98</v>
      </c>
      <c r="J13" s="42">
        <f t="shared" si="1"/>
        <v>4287.68</v>
      </c>
      <c r="K13" s="68">
        <v>120</v>
      </c>
      <c r="L13" s="68">
        <f t="shared" si="2"/>
        <v>1920</v>
      </c>
      <c r="M13" s="51">
        <f t="shared" si="3"/>
        <v>2367.68</v>
      </c>
      <c r="N13" s="69">
        <f t="shared" si="0"/>
        <v>0.00201928466400972</v>
      </c>
      <c r="O13" s="18"/>
      <c r="P13" s="10"/>
    </row>
    <row r="14" ht="26" customHeight="1" spans="1:16">
      <c r="A14" s="40">
        <v>8</v>
      </c>
      <c r="B14" s="32" t="s">
        <v>63</v>
      </c>
      <c r="C14" s="33" t="s">
        <v>53</v>
      </c>
      <c r="D14" s="41">
        <v>69.05</v>
      </c>
      <c r="E14" s="41"/>
      <c r="F14" s="35"/>
      <c r="G14" s="35"/>
      <c r="H14" s="42"/>
      <c r="I14" s="42">
        <v>583.54</v>
      </c>
      <c r="J14" s="42">
        <f t="shared" si="1"/>
        <v>40293.44</v>
      </c>
      <c r="K14" s="68">
        <v>483</v>
      </c>
      <c r="L14" s="68">
        <f t="shared" si="2"/>
        <v>33351.15</v>
      </c>
      <c r="M14" s="51">
        <f t="shared" si="3"/>
        <v>6942.29</v>
      </c>
      <c r="N14" s="69">
        <f t="shared" si="0"/>
        <v>0.00592075775869546</v>
      </c>
      <c r="O14" s="18"/>
      <c r="P14" s="10"/>
    </row>
    <row r="15" ht="26" customHeight="1" spans="1:16">
      <c r="A15" s="40">
        <v>9</v>
      </c>
      <c r="B15" s="32" t="s">
        <v>64</v>
      </c>
      <c r="C15" s="33" t="s">
        <v>55</v>
      </c>
      <c r="D15" s="41">
        <v>1380.98</v>
      </c>
      <c r="E15" s="41"/>
      <c r="F15" s="35"/>
      <c r="G15" s="35"/>
      <c r="H15" s="42"/>
      <c r="I15" s="42">
        <v>65.26</v>
      </c>
      <c r="J15" s="42">
        <f t="shared" si="1"/>
        <v>90122.75</v>
      </c>
      <c r="K15" s="68">
        <v>55.25</v>
      </c>
      <c r="L15" s="68">
        <f t="shared" si="2"/>
        <v>76299.15</v>
      </c>
      <c r="M15" s="51">
        <f t="shared" si="3"/>
        <v>13823.6</v>
      </c>
      <c r="N15" s="69">
        <f t="shared" si="0"/>
        <v>0.0117895084983633</v>
      </c>
      <c r="O15" s="18"/>
      <c r="P15" s="10"/>
    </row>
    <row r="16" ht="26" customHeight="1" spans="1:16">
      <c r="A16" s="40">
        <v>10</v>
      </c>
      <c r="B16" s="32" t="s">
        <v>65</v>
      </c>
      <c r="C16" s="33" t="s">
        <v>53</v>
      </c>
      <c r="D16" s="41">
        <v>57.54</v>
      </c>
      <c r="E16" s="41"/>
      <c r="F16" s="35"/>
      <c r="G16" s="35"/>
      <c r="H16" s="42"/>
      <c r="I16" s="42">
        <v>528.74</v>
      </c>
      <c r="J16" s="42">
        <f t="shared" si="1"/>
        <v>30423.7</v>
      </c>
      <c r="K16" s="68">
        <v>440</v>
      </c>
      <c r="L16" s="68">
        <f t="shared" si="2"/>
        <v>25317.6</v>
      </c>
      <c r="M16" s="51">
        <f t="shared" si="3"/>
        <v>5106.1</v>
      </c>
      <c r="N16" s="69">
        <f t="shared" si="0"/>
        <v>0.00435475631119917</v>
      </c>
      <c r="O16" s="18"/>
      <c r="P16" s="10"/>
    </row>
    <row r="17" ht="26" customHeight="1" spans="1:16">
      <c r="A17" s="40">
        <v>11</v>
      </c>
      <c r="B17" s="32" t="s">
        <v>66</v>
      </c>
      <c r="C17" s="33" t="s">
        <v>55</v>
      </c>
      <c r="D17" s="41">
        <v>230.16</v>
      </c>
      <c r="E17" s="41"/>
      <c r="F17" s="35"/>
      <c r="G17" s="35"/>
      <c r="H17" s="42"/>
      <c r="I17" s="42">
        <v>55.54</v>
      </c>
      <c r="J17" s="42">
        <f t="shared" si="1"/>
        <v>12783.09</v>
      </c>
      <c r="K17" s="68">
        <v>34</v>
      </c>
      <c r="L17" s="68">
        <f t="shared" si="2"/>
        <v>7825.44</v>
      </c>
      <c r="M17" s="51">
        <f t="shared" si="3"/>
        <v>4957.65</v>
      </c>
      <c r="N17" s="69">
        <f t="shared" si="0"/>
        <v>0.00422815017845647</v>
      </c>
      <c r="O17" s="18"/>
      <c r="P17" s="10"/>
    </row>
    <row r="18" ht="26" customHeight="1" spans="1:16">
      <c r="A18" s="40">
        <v>12</v>
      </c>
      <c r="B18" s="32" t="s">
        <v>67</v>
      </c>
      <c r="C18" s="33" t="s">
        <v>61</v>
      </c>
      <c r="D18" s="41">
        <v>565.74</v>
      </c>
      <c r="E18" s="41"/>
      <c r="F18" s="35"/>
      <c r="G18" s="35"/>
      <c r="H18" s="42"/>
      <c r="I18" s="42">
        <v>112.08</v>
      </c>
      <c r="J18" s="42">
        <f t="shared" si="1"/>
        <v>63408.14</v>
      </c>
      <c r="K18" s="68">
        <v>90.181</v>
      </c>
      <c r="L18" s="68">
        <f t="shared" si="2"/>
        <v>51019</v>
      </c>
      <c r="M18" s="51">
        <f t="shared" si="3"/>
        <v>12389.14</v>
      </c>
      <c r="N18" s="69">
        <f t="shared" si="0"/>
        <v>0.0105661239704138</v>
      </c>
      <c r="O18" s="18"/>
      <c r="P18" s="10"/>
    </row>
    <row r="19" ht="26" customHeight="1" spans="1:16">
      <c r="A19" s="40">
        <v>13</v>
      </c>
      <c r="B19" s="32" t="s">
        <v>68</v>
      </c>
      <c r="C19" s="33" t="s">
        <v>57</v>
      </c>
      <c r="D19" s="41">
        <v>2.18</v>
      </c>
      <c r="E19" s="41"/>
      <c r="F19" s="35"/>
      <c r="G19" s="35"/>
      <c r="H19" s="42"/>
      <c r="I19" s="42">
        <v>4913.09</v>
      </c>
      <c r="J19" s="42">
        <f t="shared" si="1"/>
        <v>10710.54</v>
      </c>
      <c r="K19" s="68">
        <v>3520</v>
      </c>
      <c r="L19" s="68">
        <f t="shared" si="2"/>
        <v>7673.6</v>
      </c>
      <c r="M19" s="51">
        <f t="shared" si="3"/>
        <v>3036.94</v>
      </c>
      <c r="N19" s="69">
        <f t="shared" si="0"/>
        <v>0.00259006553567952</v>
      </c>
      <c r="O19" s="18"/>
      <c r="P19" s="10"/>
    </row>
    <row r="20" ht="26" customHeight="1" spans="1:16">
      <c r="A20" s="40">
        <v>14</v>
      </c>
      <c r="B20" s="32" t="s">
        <v>69</v>
      </c>
      <c r="C20" s="33" t="s">
        <v>61</v>
      </c>
      <c r="D20" s="41">
        <v>300.42</v>
      </c>
      <c r="E20" s="41"/>
      <c r="F20" s="35"/>
      <c r="G20" s="35"/>
      <c r="H20" s="42"/>
      <c r="I20" s="42">
        <v>34.6</v>
      </c>
      <c r="J20" s="42">
        <f t="shared" si="1"/>
        <v>10394.53</v>
      </c>
      <c r="K20" s="68">
        <v>5</v>
      </c>
      <c r="L20" s="68">
        <f t="shared" si="2"/>
        <v>1502.1</v>
      </c>
      <c r="M20" s="51">
        <f t="shared" si="3"/>
        <v>8892.43</v>
      </c>
      <c r="N20" s="69">
        <f t="shared" ref="N20:N29" si="4">M20/$L$6</f>
        <v>0.00758394188605723</v>
      </c>
      <c r="O20" s="18"/>
      <c r="P20" s="10"/>
    </row>
    <row r="21" ht="26" customHeight="1" spans="1:16">
      <c r="A21" s="40">
        <v>15</v>
      </c>
      <c r="B21" s="32" t="s">
        <v>70</v>
      </c>
      <c r="C21" s="33" t="s">
        <v>61</v>
      </c>
      <c r="D21" s="41">
        <v>575.41</v>
      </c>
      <c r="E21" s="41"/>
      <c r="F21" s="35"/>
      <c r="G21" s="35"/>
      <c r="H21" s="42"/>
      <c r="I21" s="42">
        <v>302.663127161502</v>
      </c>
      <c r="J21" s="42">
        <f t="shared" si="1"/>
        <v>174155.39</v>
      </c>
      <c r="K21" s="68">
        <v>155</v>
      </c>
      <c r="L21" s="68">
        <f t="shared" si="2"/>
        <v>89188.55</v>
      </c>
      <c r="M21" s="51">
        <f t="shared" si="3"/>
        <v>84966.84</v>
      </c>
      <c r="N21" s="69">
        <f t="shared" si="4"/>
        <v>0.0724642844309062</v>
      </c>
      <c r="O21" s="18"/>
      <c r="P21" s="10"/>
    </row>
    <row r="22" ht="26" customHeight="1" spans="1:16">
      <c r="A22" s="40">
        <v>16</v>
      </c>
      <c r="B22" s="32" t="s">
        <v>71</v>
      </c>
      <c r="C22" s="33" t="s">
        <v>55</v>
      </c>
      <c r="D22" s="41">
        <v>1726.23</v>
      </c>
      <c r="E22" s="41"/>
      <c r="F22" s="35"/>
      <c r="G22" s="35"/>
      <c r="H22" s="42"/>
      <c r="I22" s="42">
        <v>53.977</v>
      </c>
      <c r="J22" s="42">
        <f t="shared" si="1"/>
        <v>93176.72</v>
      </c>
      <c r="K22" s="68">
        <v>48.3</v>
      </c>
      <c r="L22" s="68">
        <f t="shared" si="2"/>
        <v>83376.91</v>
      </c>
      <c r="M22" s="51">
        <f t="shared" si="3"/>
        <v>9799.81</v>
      </c>
      <c r="N22" s="69">
        <f t="shared" si="4"/>
        <v>0.00835780428233931</v>
      </c>
      <c r="O22" s="18"/>
      <c r="P22" s="10"/>
    </row>
    <row r="23" ht="26" customHeight="1" spans="1:16">
      <c r="A23" s="40">
        <v>17</v>
      </c>
      <c r="B23" s="32" t="s">
        <v>72</v>
      </c>
      <c r="C23" s="33" t="s">
        <v>55</v>
      </c>
      <c r="D23" s="41">
        <v>116.28</v>
      </c>
      <c r="E23" s="41"/>
      <c r="F23" s="35"/>
      <c r="G23" s="35"/>
      <c r="H23" s="42"/>
      <c r="I23" s="42">
        <v>55.54</v>
      </c>
      <c r="J23" s="42">
        <f t="shared" si="1"/>
        <v>6458.19</v>
      </c>
      <c r="K23" s="68">
        <v>34</v>
      </c>
      <c r="L23" s="68">
        <f t="shared" si="2"/>
        <v>3953.52</v>
      </c>
      <c r="M23" s="51">
        <f t="shared" si="3"/>
        <v>2504.67</v>
      </c>
      <c r="N23" s="69">
        <f t="shared" si="4"/>
        <v>0.00213611709327495</v>
      </c>
      <c r="O23" s="18"/>
      <c r="P23" s="10"/>
    </row>
    <row r="24" ht="26" customHeight="1" spans="1:16">
      <c r="A24" s="40">
        <v>18</v>
      </c>
      <c r="B24" s="32" t="s">
        <v>73</v>
      </c>
      <c r="C24" s="33" t="s">
        <v>55</v>
      </c>
      <c r="D24" s="41">
        <v>4984.98</v>
      </c>
      <c r="E24" s="41"/>
      <c r="F24" s="35"/>
      <c r="G24" s="35"/>
      <c r="H24" s="42"/>
      <c r="I24" s="42">
        <v>26.7</v>
      </c>
      <c r="J24" s="42">
        <f t="shared" si="1"/>
        <v>133098.97</v>
      </c>
      <c r="K24" s="68">
        <v>26</v>
      </c>
      <c r="L24" s="68">
        <f t="shared" si="2"/>
        <v>129609.48</v>
      </c>
      <c r="M24" s="51">
        <f t="shared" si="3"/>
        <v>3489.49000000001</v>
      </c>
      <c r="N24" s="69">
        <f t="shared" si="4"/>
        <v>0.00297602448059506</v>
      </c>
      <c r="O24" s="18"/>
      <c r="P24" s="10"/>
    </row>
    <row r="25" ht="26" customHeight="1" spans="1:16">
      <c r="A25" s="40">
        <v>19</v>
      </c>
      <c r="B25" s="32" t="s">
        <v>74</v>
      </c>
      <c r="C25" s="33" t="s">
        <v>75</v>
      </c>
      <c r="D25" s="41">
        <v>1</v>
      </c>
      <c r="E25" s="41"/>
      <c r="F25" s="35"/>
      <c r="G25" s="35"/>
      <c r="H25" s="42"/>
      <c r="I25" s="42"/>
      <c r="J25" s="42"/>
      <c r="K25" s="68">
        <f>E25*1.09261</f>
        <v>0</v>
      </c>
      <c r="L25" s="68">
        <f>SUM(L7:L24)*2%+30000</f>
        <v>48586.7968</v>
      </c>
      <c r="M25" s="51"/>
      <c r="N25" s="69"/>
      <c r="O25" s="18"/>
      <c r="P25" s="10"/>
    </row>
    <row r="26" ht="26" customHeight="1" spans="1:16">
      <c r="A26" s="40">
        <v>20</v>
      </c>
      <c r="B26" s="32" t="s">
        <v>76</v>
      </c>
      <c r="C26" s="33" t="s">
        <v>75</v>
      </c>
      <c r="D26" s="41">
        <v>1</v>
      </c>
      <c r="E26" s="41"/>
      <c r="F26" s="35"/>
      <c r="G26" s="35"/>
      <c r="H26" s="42"/>
      <c r="I26" s="42"/>
      <c r="J26" s="42"/>
      <c r="K26" s="68">
        <f>E26*1.09261</f>
        <v>0</v>
      </c>
      <c r="L26" s="68">
        <f>SUM(L7:L25)*10%</f>
        <v>97792.66368</v>
      </c>
      <c r="M26" s="51"/>
      <c r="N26" s="69"/>
      <c r="O26" s="18"/>
      <c r="P26" s="10"/>
    </row>
    <row r="27" ht="26" customHeight="1" spans="1:16">
      <c r="A27" s="40">
        <v>21</v>
      </c>
      <c r="B27" s="32" t="s">
        <v>77</v>
      </c>
      <c r="C27" s="33" t="s">
        <v>75</v>
      </c>
      <c r="D27" s="41">
        <v>1</v>
      </c>
      <c r="E27" s="41"/>
      <c r="F27" s="35"/>
      <c r="G27" s="35"/>
      <c r="H27" s="42"/>
      <c r="I27" s="42"/>
      <c r="J27" s="42"/>
      <c r="K27" s="68">
        <f>E27*1.09261</f>
        <v>0</v>
      </c>
      <c r="L27" s="68">
        <f>SUM(L7:L26)*9%</f>
        <v>96814.7370432</v>
      </c>
      <c r="M27" s="51"/>
      <c r="N27" s="69"/>
      <c r="O27" s="18"/>
      <c r="P27" s="10"/>
    </row>
    <row r="28" ht="34" customHeight="1" spans="1:16">
      <c r="A28" s="43" t="s">
        <v>78</v>
      </c>
      <c r="B28" s="44" t="s">
        <v>20</v>
      </c>
      <c r="C28" s="43"/>
      <c r="D28" s="45"/>
      <c r="E28" s="45"/>
      <c r="F28" s="46" t="e">
        <f>#REF!+#REF!</f>
        <v>#REF!</v>
      </c>
      <c r="G28" s="46" t="e">
        <f>#REF!+#REF!</f>
        <v>#REF!</v>
      </c>
      <c r="H28" s="46" t="e">
        <f>#REF!+#REF!</f>
        <v>#REF!</v>
      </c>
      <c r="I28" s="46"/>
      <c r="J28" s="46">
        <f>J6</f>
        <v>1239848.85</v>
      </c>
      <c r="K28" s="70"/>
      <c r="L28" s="70">
        <f>L6</f>
        <v>1172534.0375232</v>
      </c>
      <c r="M28" s="70">
        <f>J28-L28</f>
        <v>67314.8124768001</v>
      </c>
      <c r="N28" s="71">
        <f>1-L28/J28</f>
        <v>0.0542927571185795</v>
      </c>
      <c r="O28" s="72"/>
      <c r="P28" s="73"/>
    </row>
    <row r="30" customHeight="1" spans="12:12">
      <c r="L30" s="26">
        <v>1692206.23</v>
      </c>
    </row>
    <row r="31" customHeight="1" spans="12:12">
      <c r="L31" s="26">
        <f>L30-L28</f>
        <v>519672.1924768</v>
      </c>
    </row>
  </sheetData>
  <mergeCells count="16">
    <mergeCell ref="A2:P2"/>
    <mergeCell ref="B3:I3"/>
    <mergeCell ref="F4:H4"/>
    <mergeCell ref="A4:A5"/>
    <mergeCell ref="B4:B5"/>
    <mergeCell ref="C4:C5"/>
    <mergeCell ref="D4:D5"/>
    <mergeCell ref="E4:E5"/>
    <mergeCell ref="I4:I5"/>
    <mergeCell ref="J3:J5"/>
    <mergeCell ref="K3:K5"/>
    <mergeCell ref="L3:L5"/>
    <mergeCell ref="M4:M5"/>
    <mergeCell ref="N4:N5"/>
    <mergeCell ref="O4:O5"/>
    <mergeCell ref="P4:P5"/>
  </mergeCells>
  <pageMargins left="0.25" right="0.25" top="0.75" bottom="0.75" header="0.298611111111111" footer="0.298611111111111"/>
  <pageSetup paperSize="9" scale="67"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tabSelected="1" workbookViewId="0">
      <pane ySplit="4" topLeftCell="A17" activePane="bottomLeft" state="frozen"/>
      <selection/>
      <selection pane="bottomLeft" activeCell="A24" sqref="A24:H24"/>
    </sheetView>
  </sheetViews>
  <sheetFormatPr defaultColWidth="9" defaultRowHeight="15" customHeight="1" outlineLevelCol="7"/>
  <cols>
    <col min="1" max="1" width="5.375" style="2" customWidth="1"/>
    <col min="2" max="2" width="26.625" style="3" customWidth="1"/>
    <col min="3" max="3" width="44.25" style="2" customWidth="1"/>
    <col min="4" max="4" width="10.75" style="2" customWidth="1"/>
    <col min="5" max="5" width="10.125" style="2"/>
    <col min="6" max="6" width="15" style="2" customWidth="1"/>
    <col min="7" max="7" width="20.625" style="1" customWidth="1"/>
    <col min="8" max="8" width="14.875" style="2" customWidth="1"/>
    <col min="9" max="9" width="9" style="2"/>
    <col min="10" max="10" width="12.625" style="2"/>
    <col min="11" max="11" width="13.75" style="2"/>
    <col min="12" max="12" width="12.625" style="2"/>
    <col min="13" max="13" width="11.5" style="2"/>
    <col min="14" max="16384" width="9" style="2"/>
  </cols>
  <sheetData>
    <row r="1" customHeight="1" spans="1:8">
      <c r="A1" s="4" t="s">
        <v>79</v>
      </c>
      <c r="B1" s="5"/>
      <c r="C1" s="5"/>
      <c r="D1" s="5"/>
      <c r="E1" s="5"/>
      <c r="F1" s="5"/>
      <c r="G1" s="5"/>
      <c r="H1" s="5"/>
    </row>
    <row r="2" customHeight="1" spans="1:8">
      <c r="A2" s="6" t="s">
        <v>80</v>
      </c>
      <c r="B2" s="6"/>
      <c r="C2" s="6"/>
      <c r="D2" s="6"/>
      <c r="E2" s="6"/>
      <c r="F2" s="6"/>
      <c r="G2" s="6"/>
      <c r="H2" s="6"/>
    </row>
    <row r="3" customHeight="1" spans="1:8">
      <c r="A3" s="7" t="s">
        <v>8</v>
      </c>
      <c r="B3" s="8" t="s">
        <v>81</v>
      </c>
      <c r="C3" s="7" t="s">
        <v>82</v>
      </c>
      <c r="D3" s="7" t="s">
        <v>40</v>
      </c>
      <c r="E3" s="9" t="s">
        <v>83</v>
      </c>
      <c r="F3" s="7" t="s">
        <v>84</v>
      </c>
      <c r="G3" s="7"/>
      <c r="H3" s="7" t="s">
        <v>85</v>
      </c>
    </row>
    <row r="4" customHeight="1" spans="1:8">
      <c r="A4" s="7"/>
      <c r="B4" s="8"/>
      <c r="C4" s="7"/>
      <c r="D4" s="7"/>
      <c r="E4" s="9"/>
      <c r="F4" s="8" t="s">
        <v>86</v>
      </c>
      <c r="G4" s="8" t="s">
        <v>87</v>
      </c>
      <c r="H4" s="7"/>
    </row>
    <row r="5" ht="50" customHeight="1" spans="1:8">
      <c r="A5" s="10">
        <v>1</v>
      </c>
      <c r="B5" s="11" t="str">
        <f>控制价分析表!B7</f>
        <v>人工挖沟槽、基坑土石方</v>
      </c>
      <c r="C5" s="12" t="s">
        <v>88</v>
      </c>
      <c r="D5" s="13" t="str">
        <f>控制价分析表!C7</f>
        <v>m3</v>
      </c>
      <c r="E5" s="14">
        <f>控制价分析表!D7</f>
        <v>230.16</v>
      </c>
      <c r="F5" s="15">
        <f>控制价分析表!I7</f>
        <v>55.12</v>
      </c>
      <c r="G5" s="14">
        <f>ROUND(F5*E5,2)</f>
        <v>12686.42</v>
      </c>
      <c r="H5" s="10"/>
    </row>
    <row r="6" ht="50" customHeight="1" spans="1:8">
      <c r="A6" s="10">
        <v>2</v>
      </c>
      <c r="B6" s="11" t="str">
        <f>控制价分析表!B8</f>
        <v>机械整理边坡</v>
      </c>
      <c r="C6" s="12" t="s">
        <v>89</v>
      </c>
      <c r="D6" s="13" t="str">
        <f>控制价分析表!C8</f>
        <v>m2</v>
      </c>
      <c r="E6" s="14">
        <f>控制价分析表!D8</f>
        <v>4984.98</v>
      </c>
      <c r="F6" s="15">
        <f>控制价分析表!I8</f>
        <v>2.56</v>
      </c>
      <c r="G6" s="14">
        <f t="shared" ref="G6:G31" si="0">ROUND(F6*E6,2)</f>
        <v>12761.55</v>
      </c>
      <c r="H6" s="10"/>
    </row>
    <row r="7" ht="50" customHeight="1" spans="1:8">
      <c r="A7" s="10">
        <v>3</v>
      </c>
      <c r="B7" s="11" t="str">
        <f>控制价分析表!B9</f>
        <v>现浇钢筋网片制安（HRB400 Φ8及以内）</v>
      </c>
      <c r="C7" s="16" t="s">
        <v>90</v>
      </c>
      <c r="D7" s="13" t="str">
        <f>控制价分析表!C9</f>
        <v>t</v>
      </c>
      <c r="E7" s="14">
        <f>控制价分析表!D9</f>
        <v>5.13</v>
      </c>
      <c r="F7" s="15">
        <f>控制价分析表!I9</f>
        <v>5954.12</v>
      </c>
      <c r="G7" s="14">
        <f t="shared" si="0"/>
        <v>30544.64</v>
      </c>
      <c r="H7" s="10"/>
    </row>
    <row r="8" ht="50" customHeight="1" spans="1:8">
      <c r="A8" s="10">
        <v>4</v>
      </c>
      <c r="B8" s="11" t="str">
        <f>控制价分析表!B10</f>
        <v>网喷射混凝土、水泥砂浆  100mm厚 C25</v>
      </c>
      <c r="C8" s="16" t="s">
        <v>91</v>
      </c>
      <c r="D8" s="13" t="str">
        <f>控制价分析表!C10</f>
        <v>m2</v>
      </c>
      <c r="E8" s="14">
        <f>控制价分析表!D10</f>
        <v>960.3</v>
      </c>
      <c r="F8" s="15">
        <f>控制价分析表!I10</f>
        <v>119.38</v>
      </c>
      <c r="G8" s="14">
        <f t="shared" si="0"/>
        <v>114640.61</v>
      </c>
      <c r="H8" s="10"/>
    </row>
    <row r="9" ht="50" customHeight="1" spans="1:8">
      <c r="A9" s="10">
        <v>5</v>
      </c>
      <c r="B9" s="11" t="str">
        <f>控制价分析表!B11</f>
        <v>素喷喷射混凝土、水泥砂浆  80mm厚C25</v>
      </c>
      <c r="C9" s="16" t="s">
        <v>92</v>
      </c>
      <c r="D9" s="13" t="str">
        <f>控制价分析表!C11</f>
        <v>m2</v>
      </c>
      <c r="E9" s="14">
        <f>控制价分析表!D11</f>
        <v>4024.68</v>
      </c>
      <c r="F9" s="15">
        <f>控制价分析表!I11</f>
        <v>95.1</v>
      </c>
      <c r="G9" s="14">
        <f t="shared" si="0"/>
        <v>382747.07</v>
      </c>
      <c r="H9" s="10"/>
    </row>
    <row r="10" ht="50" customHeight="1" spans="1:8">
      <c r="A10" s="10">
        <v>6</v>
      </c>
      <c r="B10" s="11" t="str">
        <f>控制价分析表!B12</f>
        <v>泄水孔 塑料 孔径φ110mm</v>
      </c>
      <c r="C10" s="16" t="s">
        <v>93</v>
      </c>
      <c r="D10" s="13" t="str">
        <f>控制价分析表!C12</f>
        <v>m</v>
      </c>
      <c r="E10" s="14">
        <f>控制价分析表!D12</f>
        <v>239</v>
      </c>
      <c r="F10" s="15">
        <f>控制价分析表!I12</f>
        <v>71.78</v>
      </c>
      <c r="G10" s="14">
        <f t="shared" si="0"/>
        <v>17155.42</v>
      </c>
      <c r="H10" s="10"/>
    </row>
    <row r="11" ht="50" customHeight="1" spans="1:8">
      <c r="A11" s="10">
        <v>7</v>
      </c>
      <c r="B11" s="11" t="str">
        <f>控制价分析表!B13</f>
        <v>滤水包</v>
      </c>
      <c r="C11" s="16" t="s">
        <v>94</v>
      </c>
      <c r="D11" s="13" t="str">
        <f>控制价分析表!C13</f>
        <v>m3</v>
      </c>
      <c r="E11" s="14">
        <f>控制价分析表!D13</f>
        <v>16</v>
      </c>
      <c r="F11" s="15">
        <f>控制价分析表!I13</f>
        <v>267.98</v>
      </c>
      <c r="G11" s="14">
        <f t="shared" si="0"/>
        <v>4287.68</v>
      </c>
      <c r="H11" s="10"/>
    </row>
    <row r="12" ht="50" customHeight="1" spans="1:8">
      <c r="A12" s="10">
        <v>8</v>
      </c>
      <c r="B12" s="11" t="str">
        <f>控制价分析表!B14</f>
        <v>商品砼排水沟、截水沟  C25砼</v>
      </c>
      <c r="C12" s="16" t="s">
        <v>95</v>
      </c>
      <c r="D12" s="13" t="str">
        <f>控制价分析表!C14</f>
        <v>m3</v>
      </c>
      <c r="E12" s="14">
        <f>控制价分析表!D14</f>
        <v>69.05</v>
      </c>
      <c r="F12" s="15">
        <f>控制价分析表!I14</f>
        <v>583.54</v>
      </c>
      <c r="G12" s="14">
        <f t="shared" si="0"/>
        <v>40293.44</v>
      </c>
      <c r="H12" s="10"/>
    </row>
    <row r="13" ht="50" customHeight="1" spans="1:8">
      <c r="A13" s="10">
        <v>9</v>
      </c>
      <c r="B13" s="11" t="str">
        <f>控制价分析表!B15</f>
        <v>排水沟、截水沟  模板</v>
      </c>
      <c r="C13" s="16" t="s">
        <v>96</v>
      </c>
      <c r="D13" s="13" t="str">
        <f>控制价分析表!C15</f>
        <v>m2</v>
      </c>
      <c r="E13" s="14">
        <f>控制价分析表!D15</f>
        <v>1380.98</v>
      </c>
      <c r="F13" s="15">
        <f>控制价分析表!I15</f>
        <v>65.26</v>
      </c>
      <c r="G13" s="14">
        <f t="shared" si="0"/>
        <v>90122.75</v>
      </c>
      <c r="H13" s="10"/>
    </row>
    <row r="14" ht="50" customHeight="1" spans="1:8">
      <c r="A14" s="10">
        <v>10</v>
      </c>
      <c r="B14" s="11" t="str">
        <f>控制价分析表!B16</f>
        <v>垫层-C15 商品砼</v>
      </c>
      <c r="C14" s="16" t="s">
        <v>97</v>
      </c>
      <c r="D14" s="13" t="str">
        <f>控制价分析表!C16</f>
        <v>m3</v>
      </c>
      <c r="E14" s="14">
        <f>控制价分析表!D16</f>
        <v>57.54</v>
      </c>
      <c r="F14" s="15">
        <f>控制价分析表!I16</f>
        <v>528.74</v>
      </c>
      <c r="G14" s="14">
        <f t="shared" si="0"/>
        <v>30423.7</v>
      </c>
      <c r="H14" s="10"/>
    </row>
    <row r="15" ht="50" customHeight="1" spans="1:8">
      <c r="A15" s="10">
        <v>11</v>
      </c>
      <c r="B15" s="11" t="str">
        <f>控制价分析表!B17</f>
        <v>垫层模板</v>
      </c>
      <c r="C15" s="16" t="s">
        <v>96</v>
      </c>
      <c r="D15" s="13" t="str">
        <f>控制价分析表!C17</f>
        <v>m2</v>
      </c>
      <c r="E15" s="14">
        <f>控制价分析表!D17</f>
        <v>230.16</v>
      </c>
      <c r="F15" s="15">
        <f>控制价分析表!I17</f>
        <v>55.54</v>
      </c>
      <c r="G15" s="14">
        <f t="shared" si="0"/>
        <v>12783.09</v>
      </c>
      <c r="H15" s="10"/>
    </row>
    <row r="16" ht="50" customHeight="1" spans="1:8">
      <c r="A16" s="10">
        <v>12</v>
      </c>
      <c r="B16" s="11" t="str">
        <f>控制价分析表!B18</f>
        <v>锚杆、锚索钻孔及灌浆（孔径110mm及以内）</v>
      </c>
      <c r="C16" s="16" t="s">
        <v>98</v>
      </c>
      <c r="D16" s="13" t="str">
        <f>控制价分析表!C18</f>
        <v>m</v>
      </c>
      <c r="E16" s="14">
        <f>控制价分析表!D18</f>
        <v>565.74</v>
      </c>
      <c r="F16" s="15">
        <f>控制价分析表!I18</f>
        <v>112.08</v>
      </c>
      <c r="G16" s="14">
        <f t="shared" si="0"/>
        <v>63408.14</v>
      </c>
      <c r="H16" s="10"/>
    </row>
    <row r="17" ht="50" customHeight="1" spans="1:8">
      <c r="A17" s="10">
        <v>13</v>
      </c>
      <c r="B17" s="11" t="str">
        <f>控制价分析表!B19</f>
        <v>非预应力锚杆、锚索 制安</v>
      </c>
      <c r="C17" s="16" t="s">
        <v>99</v>
      </c>
      <c r="D17" s="13" t="str">
        <f>控制价分析表!C19</f>
        <v>t</v>
      </c>
      <c r="E17" s="14">
        <f>控制价分析表!D19</f>
        <v>2.18</v>
      </c>
      <c r="F17" s="15">
        <f>控制价分析表!I19</f>
        <v>4913.09</v>
      </c>
      <c r="G17" s="14">
        <f t="shared" si="0"/>
        <v>10710.54</v>
      </c>
      <c r="H17" s="10"/>
    </row>
    <row r="18" ht="50" customHeight="1" spans="1:8">
      <c r="A18" s="10">
        <v>14</v>
      </c>
      <c r="B18" s="11" t="str">
        <f>控制价分析表!B20</f>
        <v>伸缩缝 缝宽30mm 沥青麻絮填充</v>
      </c>
      <c r="C18" s="16" t="s">
        <v>100</v>
      </c>
      <c r="D18" s="13" t="str">
        <f>控制价分析表!C20</f>
        <v>m</v>
      </c>
      <c r="E18" s="14">
        <f>控制价分析表!D20</f>
        <v>300.42</v>
      </c>
      <c r="F18" s="15">
        <f>控制价分析表!I20</f>
        <v>34.6</v>
      </c>
      <c r="G18" s="14">
        <f t="shared" si="0"/>
        <v>10394.53</v>
      </c>
      <c r="H18" s="10"/>
    </row>
    <row r="19" ht="50" customHeight="1" spans="1:8">
      <c r="A19" s="10">
        <v>15</v>
      </c>
      <c r="B19" s="11" t="str">
        <f>控制价分析表!B21</f>
        <v>安全护栏 h≥1.2m</v>
      </c>
      <c r="C19" s="16" t="s">
        <v>101</v>
      </c>
      <c r="D19" s="13" t="str">
        <f>控制价分析表!C21</f>
        <v>m</v>
      </c>
      <c r="E19" s="14">
        <f>控制价分析表!D21</f>
        <v>575.41</v>
      </c>
      <c r="F19" s="15">
        <f>控制价分析表!I21</f>
        <v>302.663127161502</v>
      </c>
      <c r="G19" s="14">
        <f t="shared" si="0"/>
        <v>174155.39</v>
      </c>
      <c r="H19" s="10"/>
    </row>
    <row r="20" ht="50" customHeight="1" spans="1:8">
      <c r="A20" s="10">
        <v>16</v>
      </c>
      <c r="B20" s="11" t="str">
        <f>控制价分析表!B22</f>
        <v>坡顶及坡底硬化100mm厚硬化不小于3米 C25砼</v>
      </c>
      <c r="C20" s="16" t="s">
        <v>102</v>
      </c>
      <c r="D20" s="13" t="str">
        <f>控制价分析表!C22</f>
        <v>m2</v>
      </c>
      <c r="E20" s="14">
        <f>控制价分析表!D22</f>
        <v>1726.23</v>
      </c>
      <c r="F20" s="15">
        <f>控制价分析表!I22</f>
        <v>53.977</v>
      </c>
      <c r="G20" s="14">
        <f t="shared" si="0"/>
        <v>93176.72</v>
      </c>
      <c r="H20" s="10"/>
    </row>
    <row r="21" ht="50" customHeight="1" spans="1:8">
      <c r="A21" s="10">
        <v>17</v>
      </c>
      <c r="B21" s="11" t="str">
        <f>控制价分析表!B23</f>
        <v>坡顶及坡底硬化100mm 模板</v>
      </c>
      <c r="C21" s="16" t="s">
        <v>96</v>
      </c>
      <c r="D21" s="13" t="str">
        <f>控制价分析表!C23</f>
        <v>m2</v>
      </c>
      <c r="E21" s="14">
        <f>控制价分析表!D23</f>
        <v>116.28</v>
      </c>
      <c r="F21" s="15">
        <f>控制价分析表!I23</f>
        <v>55.54</v>
      </c>
      <c r="G21" s="14">
        <f t="shared" si="0"/>
        <v>6458.19</v>
      </c>
      <c r="H21" s="10"/>
    </row>
    <row r="22" ht="50" customHeight="1" spans="1:8">
      <c r="A22" s="10">
        <v>18</v>
      </c>
      <c r="B22" s="11" t="str">
        <f>控制价分析表!B24</f>
        <v>脚手架</v>
      </c>
      <c r="C22" s="16" t="s">
        <v>103</v>
      </c>
      <c r="D22" s="13" t="str">
        <f>控制价分析表!C24</f>
        <v>m2</v>
      </c>
      <c r="E22" s="14">
        <f>控制价分析表!D24</f>
        <v>4984.98</v>
      </c>
      <c r="F22" s="15">
        <f>控制价分析表!I24</f>
        <v>26.7</v>
      </c>
      <c r="G22" s="14">
        <f t="shared" si="0"/>
        <v>133098.97</v>
      </c>
      <c r="H22" s="10"/>
    </row>
    <row r="23" customHeight="1" spans="1:8">
      <c r="A23" s="10">
        <v>19</v>
      </c>
      <c r="B23" s="17" t="s">
        <v>20</v>
      </c>
      <c r="C23" s="10"/>
      <c r="D23" s="10"/>
      <c r="E23" s="14"/>
      <c r="F23" s="15"/>
      <c r="G23" s="15">
        <f>SUM(G5:G22)</f>
        <v>1239848.85</v>
      </c>
      <c r="H23" s="18"/>
    </row>
    <row r="24" s="1" customFormat="1" ht="66" customHeight="1" spans="1:8">
      <c r="A24" s="19" t="s">
        <v>104</v>
      </c>
      <c r="B24" s="20"/>
      <c r="C24" s="20"/>
      <c r="D24" s="20"/>
      <c r="E24" s="20"/>
      <c r="F24" s="20"/>
      <c r="G24" s="20"/>
      <c r="H24" s="21"/>
    </row>
  </sheetData>
  <mergeCells count="10">
    <mergeCell ref="A1:H1"/>
    <mergeCell ref="A2:H2"/>
    <mergeCell ref="F3:G3"/>
    <mergeCell ref="A24:H24"/>
    <mergeCell ref="A3:A4"/>
    <mergeCell ref="B3:B4"/>
    <mergeCell ref="C3:C4"/>
    <mergeCell ref="D3:D4"/>
    <mergeCell ref="E3:E4"/>
    <mergeCell ref="H3:H4"/>
  </mergeCells>
  <pageMargins left="0.75" right="0.75" top="1" bottom="1" header="0.5" footer="0.5"/>
  <pageSetup paperSize="9" scale="86"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项目概况</vt:lpstr>
      <vt:lpstr>控制价分析表</vt:lpstr>
      <vt:lpstr>成本分析清单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cp:lastPrinted>2024-07-11T01:55:00Z</cp:lastPrinted>
  <dcterms:modified xsi:type="dcterms:W3CDTF">2024-12-05T03:24:18Z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84CADDD473504AB9A14F3B64AF6952FA_13</vt:lpwstr>
  </property>
  <property fmtid="{D5CDD505-2E9C-101B-9397-08002B2CF9AE}" pid="3" name="KSOProductBuildVer">
    <vt:lpwstr>2052-12.1.0.19302</vt:lpwstr>
  </property>
</Properties>
</file>